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<sst xmlns="http://schemas.openxmlformats.org/spreadsheetml/2006/main" count="204" uniqueCount="166">
  <si>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</si>
  <si>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</si>
  <si>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</si>
  <si>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</si>
  <si>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</si>
  <si>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</si>
  <si>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</si>
  <si>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</si>
  <si>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</si>
  <si>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</si>
  <si>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</si>
  <si>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</si>
  <si>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</si>
  <si>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</si>
  <si>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</si>
  <si>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</si>
  <si>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</si>
  <si>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</si>
  <si>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</si>
  <si>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</si>
  <si>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</si>
  <si>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</si>
  <si>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</si>
  <si>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</si>
  <si>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</si>
  <si>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</si>
  <si>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</si>
  <si>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</si>
  <si>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</si>
  <si>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</si>
  <si>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</si>
  <si>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</si>
  <si>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</si>
  <si>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</si>
  <si>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</si>
  <si>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</si>
  <si>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</si>
  <si>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</si>
  <si>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</si>
  <si>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</si>
  <si>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</si>
  <si>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</si>
  <si>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</si>
  <si>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</si>
  <si>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</si>
  <si>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</si>
  <si>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</si>
  <si>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</si>
  <si>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</si>
  <si>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</si>
  <si>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</si>
  <si>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</si>
  <si>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</si>
  <si>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</si>
  <si>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</si>
  <si>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</si>
  <si>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</si>
  <si>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</si>
  <si>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</si>
  <si>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</si>
  <si>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</si>
  <si>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</si>
  <si>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</si>
  <si>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</si>
  <si>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</si>
  <si>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</si>
  <si>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</si>
  <si>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</si>
  <si>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</si>
  <si>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</si>
  <si>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</si>
  <si>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</si>
  <si>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</si>
  <si>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</si>
  <si>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</si>
  <si>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</si>
  <si>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</si>
  <si>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</si>
  <si>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</si>
  <si>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</si>
  <si>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</si>
  <si>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</si>
  <si>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</si>
  <si>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</si>
  <si>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</si>
  <si>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</si>
  <si>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</si>
  <si>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</si>
  <si>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</si>
  <si>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</si>
  <si>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</si>
  <si>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</si>
  <si>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</si>
  <si>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</si>
  <si>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</si>
  <si>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</si>
  <si>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</si>
  <si>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</si>
  <si>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</si>
  <si>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</si>
  <si>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</si>
  <si>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</si>
  <si>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</si>
  <si>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</si>
  <si>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</si>
  <si>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</si>
  <si>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</si>
  <si>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</si>
  <si>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</si>
  <si>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</si>
  <si>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</si>
  <si>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</si>
  <si>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</si>
  <si>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</si>
  <si>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</si>
  <si>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</si>
  <si>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</si>
  <si>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</si>
  <si>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</si>
  <si>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</si>
  <si>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</si>
  <si>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</si>
  <si>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</si>
  <si>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</si>
  <si>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</si>
  <si>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</si>
  <si>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</si>
  <si>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</si>
  <si>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</si>
  <si>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</si>
  <si>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net sales – cost of sales – operating expense / interest expense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</si>
  <si>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</si>
  <si>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</si>
  <si>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</si>
  <si>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</si>
  <si>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</si>
  <si>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</si>
  <si>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</si>
  <si>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</si>
  <si>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</si>
  <si>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</si>
  <si>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</si>
  <si>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</si>
  <si>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market price per share / book value per share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</si>
  <si>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</si>
  <si>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</si>
  <si>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</si>
  <si>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</si>
  <si>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dividend per share / price per share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</si>
  <si>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</si>
  <si>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</si>
  <si>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</si>
  <si>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</si>
  <si>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market cap + debt – cash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</si>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</sst>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0.00"/>
    <numFmt numFmtId="170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4" activeCellId="0" sqref="A4"/>
    </sheetView>
  </sheetViews>
  <sheetFormatPr defaultColWidth="8.8046875" defaultRowHeight="14.25" zeroHeight="false" outlineLevelRow="0" outlineLevelCol="0"/>
  <cols>
    <col collapsed="false" customWidth="true" hidden="false" outlineLevel="0" max="1" min="1" style="0" width="104.57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B62" activeCellId="0" sqref="B62"/>
    </sheetView>
  </sheetViews>
  <sheetFormatPr defaultColWidth="8.80468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7"/>
    <col collapsed="false" customWidth="true" hidden="false" outlineLevel="0" max="4" min="4" style="0" width="11.64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2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4.25" hidden="false" customHeight="false" outlineLevel="0" collapsed="false">
      <c r="A22" s="13" t="s">
        <v>39</v>
      </c>
      <c r="B22" s="14" t="n">
        <f aca="false">+B20-B21</f>
        <v>99803</v>
      </c>
      <c r="C22" s="14" t="n">
        <f aca="false">+C20-C21</f>
        <v>94680</v>
      </c>
      <c r="D22" s="14" t="n">
        <f aca="false">+D20-D21</f>
        <v>57411</v>
      </c>
    </row>
    <row r="23" customFormat="false" ht="14.2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5" t="n">
        <v>6.15</v>
      </c>
      <c r="C24" s="15" t="n">
        <v>5.67</v>
      </c>
      <c r="D24" s="15" t="n">
        <v>3.31</v>
      </c>
    </row>
    <row r="25" customFormat="false" ht="14.25" hidden="false" customHeight="false" outlineLevel="0" collapsed="false">
      <c r="A25" s="4" t="s">
        <v>42</v>
      </c>
      <c r="B25" s="15" t="n">
        <v>6.11</v>
      </c>
      <c r="C25" s="15" t="n">
        <v>5.61</v>
      </c>
      <c r="D25" s="15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6" t="n">
        <v>16215963</v>
      </c>
      <c r="C27" s="16" t="n">
        <v>16701272</v>
      </c>
      <c r="D27" s="16" t="n">
        <v>17352119</v>
      </c>
    </row>
    <row r="28" customFormat="false" ht="14.25" hidden="false" customHeight="false" outlineLevel="0" collapsed="false">
      <c r="A28" s="4" t="s">
        <v>42</v>
      </c>
      <c r="B28" s="16" t="n">
        <v>16325819</v>
      </c>
      <c r="C28" s="16" t="n">
        <v>16864919</v>
      </c>
      <c r="D28" s="16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4.25" hidden="false" customHeight="false" outlineLevel="0" collapsed="false">
      <c r="A48" s="13" t="s">
        <v>58</v>
      </c>
      <c r="B48" s="14" t="n">
        <f aca="false">+B42+B47</f>
        <v>352755</v>
      </c>
      <c r="C48" s="14" t="n">
        <f aca="false">+C42+C47</f>
        <v>351002</v>
      </c>
      <c r="D48" s="14" t="n">
        <f aca="false">+D42+D47</f>
        <v>323888</v>
      </c>
    </row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7" t="s">
        <v>68</v>
      </c>
      <c r="B61" s="18" t="n">
        <f aca="false">+B59+B60</f>
        <v>148101</v>
      </c>
      <c r="C61" s="18" t="n">
        <f aca="false">+C59+C60</f>
        <v>162431</v>
      </c>
      <c r="D61" s="18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4.25" hidden="false" customHeight="false" outlineLevel="0" collapsed="false">
      <c r="A69" s="13" t="s">
        <v>75</v>
      </c>
      <c r="B69" s="14" t="n">
        <f aca="false">+B68+B62</f>
        <v>352755</v>
      </c>
      <c r="C69" s="14" t="n">
        <f aca="false">+C68+C62</f>
        <v>351002</v>
      </c>
      <c r="D69" s="14" t="n">
        <f aca="false">+D68+D62</f>
        <v>323888</v>
      </c>
    </row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19"/>
      <c r="C75" s="19"/>
      <c r="D75" s="19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0" t="s">
        <v>39</v>
      </c>
      <c r="B77" s="19"/>
      <c r="C77" s="19"/>
      <c r="D77" s="19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1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1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1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1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3.8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4.25" hidden="false" customHeight="false" outlineLevel="0" collapsed="false">
      <c r="A110" s="13" t="s">
        <v>104</v>
      </c>
      <c r="B110" s="14" t="n">
        <v>24977</v>
      </c>
      <c r="C110" s="14" t="n">
        <v>35929</v>
      </c>
      <c r="D110" s="14" t="n">
        <v>39789</v>
      </c>
    </row>
    <row r="111" customFormat="false" ht="14.2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34" colorId="64" zoomScale="110" zoomScaleNormal="110" zoomScalePageLayoutView="100" workbookViewId="0">
      <selection pane="topLeft" activeCell="F46" activeCellId="0" sqref="F46"/>
    </sheetView>
  </sheetViews>
  <sheetFormatPr defaultColWidth="8.80468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2" t="s">
        <v>21</v>
      </c>
      <c r="C1" s="23"/>
      <c r="D1" s="23"/>
      <c r="E1" s="23"/>
      <c r="F1" s="23"/>
      <c r="G1" s="23"/>
      <c r="H1" s="23"/>
      <c r="I1" s="23"/>
      <c r="J1" s="23"/>
    </row>
    <row r="2" customFormat="false" ht="14.25" hidden="false" customHeight="false" outlineLevel="0" collapsed="false">
      <c r="C2" s="9" t="s">
        <v>24</v>
      </c>
      <c r="D2" s="9"/>
      <c r="E2" s="9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</row>
    <row r="4" customFormat="false" ht="14.25" hidden="false" customHeight="false" outlineLevel="0" collapsed="false">
      <c r="A4" s="24" t="n">
        <v>1</v>
      </c>
      <c r="B4" s="2" t="s">
        <v>108</v>
      </c>
    </row>
    <row r="5" customFormat="false" ht="14.25" hidden="false" customHeight="false" outlineLevel="0" collapsed="false">
      <c r="A5" s="24" t="n">
        <f aca="false">+A4+0.1</f>
        <v>1.1</v>
      </c>
      <c r="B5" s="4" t="s">
        <v>109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  <c r="F5" s="25" t="n">
        <f aca="false">+'Financial Statements'!B42/'Financial Statements'!B56</f>
        <v>0.879356028626722</v>
      </c>
    </row>
    <row r="6" customFormat="false" ht="14.25" hidden="false" customHeight="false" outlineLevel="0" collapsed="false">
      <c r="A6" s="24" t="n">
        <f aca="false">+A5+0.1</f>
        <v>1.2</v>
      </c>
      <c r="B6" s="4" t="s">
        <v>110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  <c r="F6" s="26" t="n">
        <f aca="false">+('Financial Statements'!B36+'Financial Statements'!B37+'Financial Statements'!B38)/'Financial Statements'!B56</f>
        <v>0.496733384421556</v>
      </c>
    </row>
    <row r="7" customFormat="false" ht="14.25" hidden="false" customHeight="false" outlineLevel="0" collapsed="false">
      <c r="A7" s="24" t="n">
        <f aca="false">+A6+0.1</f>
        <v>1.3</v>
      </c>
      <c r="B7" s="4" t="s">
        <v>111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  <c r="F7" s="26" t="n">
        <f aca="false">+'Financial Statements'!B36/'Financial Statements'!B56</f>
        <v>0.153563403514697</v>
      </c>
    </row>
    <row r="8" customFormat="false" ht="14.25" hidden="false" customHeight="false" outlineLevel="0" collapsed="false">
      <c r="A8" s="24" t="n">
        <f aca="false">+A7+0.1</f>
        <v>1.4</v>
      </c>
      <c r="B8" s="4" t="s">
        <v>112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  <c r="F8" s="26" t="n">
        <f aca="false">+('Financial Statements'!B42/'Financial Statements'!B17)*365</f>
        <v>962.563540753725</v>
      </c>
    </row>
    <row r="9" customFormat="false" ht="14.25" hidden="false" customHeight="false" outlineLevel="0" collapsed="false">
      <c r="A9" s="24" t="n">
        <f aca="false">+A8+0.1</f>
        <v>1.5</v>
      </c>
      <c r="B9" s="4" t="s">
        <v>113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  <c r="F9" s="26" t="n">
        <f aca="false">+('Financial Statements'!B39/'Financial Statements'!B12)*365</f>
        <v>8.07569806661716</v>
      </c>
    </row>
    <row r="10" customFormat="false" ht="14.25" hidden="false" customHeight="false" outlineLevel="0" collapsed="false">
      <c r="A10" s="24" t="n">
        <f aca="false">+A9+0.1</f>
        <v>1.6</v>
      </c>
      <c r="B10" s="4" t="s">
        <v>114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  <c r="F10" s="26" t="n">
        <f aca="false">+('Financial Statements'!B51/'Financial Statements'!B12)*365</f>
        <v>104.685277303105</v>
      </c>
    </row>
    <row r="11" customFormat="false" ht="14.25" hidden="false" customHeight="false" outlineLevel="0" collapsed="false">
      <c r="A11" s="24" t="n">
        <f aca="false">+A10+0.1</f>
        <v>1.7</v>
      </c>
      <c r="B11" s="4" t="s">
        <v>115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  <c r="F11" s="26" t="n">
        <f aca="false">+('Financial Statements'!B38/'Financial Statements'!B8)*365</f>
        <v>26.0878253636566</v>
      </c>
    </row>
    <row r="12" customFormat="false" ht="13.8" hidden="false" customHeight="false" outlineLevel="0" collapsed="false">
      <c r="A12" s="24" t="n">
        <f aca="false">+A11+0.1</f>
        <v>1.8</v>
      </c>
      <c r="B12" s="4" t="s">
        <v>116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  <c r="F12" s="26" t="n">
        <f aca="false">+'List of Ratios'!C9+'List of Ratios'!C11-'List of Ratios'!C10</f>
        <v>-70.5217538728311</v>
      </c>
    </row>
    <row r="13" customFormat="false" ht="14.25" hidden="false" customHeight="false" outlineLevel="0" collapsed="false">
      <c r="A13" s="24" t="n">
        <f aca="false">+A12+0.1</f>
        <v>1.9</v>
      </c>
      <c r="B13" s="4" t="s">
        <v>117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  <c r="F13" s="26" t="n">
        <f aca="false">+('Financial Statements'!B42-'Financial Statements'!B56)/'Financial Statements'!B8</f>
        <v>-0.0471105272767848</v>
      </c>
    </row>
    <row r="14" customFormat="false" ht="14.25" hidden="false" customHeight="false" outlineLevel="0" collapsed="false">
      <c r="A14" s="24"/>
      <c r="B14" s="21" t="s">
        <v>118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  <c r="F14" s="26" t="n">
        <f aca="false">+'Financial Statements'!B42-'Financial Statements'!B56</f>
        <v>-18577</v>
      </c>
    </row>
    <row r="15" customFormat="false" ht="14.25" hidden="false" customHeight="false" outlineLevel="0" collapsed="false">
      <c r="A15" s="24"/>
    </row>
    <row r="16" customFormat="false" ht="14.25" hidden="false" customHeight="false" outlineLevel="0" collapsed="false">
      <c r="A16" s="24" t="n">
        <f aca="false">+A4+1</f>
        <v>2</v>
      </c>
      <c r="B16" s="5" t="s">
        <v>119</v>
      </c>
    </row>
    <row r="17" customFormat="false" ht="14.25" hidden="false" customHeight="false" outlineLevel="0" collapsed="false">
      <c r="A17" s="24" t="n">
        <f aca="false">+A16+0.1</f>
        <v>2.1</v>
      </c>
      <c r="B17" s="4" t="s">
        <v>31</v>
      </c>
      <c r="C17" s="0" t="n">
        <f aca="false">114728+56054</f>
        <v>170782</v>
      </c>
      <c r="D17" s="0" t="n">
        <f aca="false">105126+47710</f>
        <v>152836</v>
      </c>
      <c r="E17" s="0" t="n">
        <f aca="false">69461+35495</f>
        <v>104956</v>
      </c>
      <c r="F17" s="27" t="n">
        <f aca="false">+'Financial Statements'!B13</f>
        <v>170782</v>
      </c>
    </row>
    <row r="18" customFormat="false" ht="14.25" hidden="false" customHeight="false" outlineLevel="0" collapsed="false">
      <c r="A18" s="24" t="n">
        <f aca="false">+A17+0.1</f>
        <v>2.2</v>
      </c>
      <c r="B18" s="4" t="s">
        <v>120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  <c r="F18" s="26" t="n">
        <f aca="false">(+'Financial Statements'!B8-'Financial Statements'!B12-'Financial Statements'!B17+'Financial Statements'!B79)/'Financial Statements'!B8</f>
        <v>0.33104674281309</v>
      </c>
    </row>
    <row r="19" customFormat="false" ht="14.25" hidden="false" customHeight="false" outlineLevel="0" collapsed="false">
      <c r="A19" s="24"/>
      <c r="B19" s="21" t="s">
        <v>121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  <c r="F19" s="26" t="n">
        <f aca="false">+'Financial Statements'!B8-'Financial Statements'!B12-'Financial Statements'!B17+'Financial Statements'!B79</f>
        <v>130541</v>
      </c>
    </row>
    <row r="20" customFormat="false" ht="14.25" hidden="false" customHeight="false" outlineLevel="0" collapsed="false">
      <c r="A20" s="24" t="n">
        <f aca="false">+A18+0.1</f>
        <v>2.3</v>
      </c>
      <c r="B20" s="4" t="s">
        <v>122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  <c r="F20" s="26" t="n">
        <f aca="false">+('Financial Statements'!B8-'Financial Statements'!B12-'Financial Statements'!B17)/'Financial Statements'!B8</f>
        <v>0.302887443955286</v>
      </c>
    </row>
    <row r="21" customFormat="false" ht="14.25" hidden="false" customHeight="false" outlineLevel="0" collapsed="false">
      <c r="A21" s="24"/>
      <c r="B21" s="21" t="s">
        <v>123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  <c r="F21" s="26" t="n">
        <f aca="false">+'Financial Statements'!B8-'Financial Statements'!B12-'Financial Statements'!B17</f>
        <v>119437</v>
      </c>
    </row>
    <row r="22" customFormat="false" ht="14.25" hidden="false" customHeight="false" outlineLevel="0" collapsed="false">
      <c r="A22" s="24" t="n">
        <f aca="false">+A20+0.1</f>
        <v>2.4</v>
      </c>
      <c r="B22" s="4" t="s">
        <v>124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  <c r="F22" s="26" t="n">
        <f aca="false">+'Financial Statements'!B22/'Financial Statements'!B8</f>
        <v>0.253096407051997</v>
      </c>
    </row>
    <row r="23" customFormat="false" ht="14.25" hidden="false" customHeight="false" outlineLevel="0" collapsed="false">
      <c r="A23" s="24"/>
    </row>
    <row r="24" customFormat="false" ht="14.25" hidden="false" customHeight="false" outlineLevel="0" collapsed="false">
      <c r="A24" s="24" t="n">
        <f aca="false">+A16+1</f>
        <v>3</v>
      </c>
      <c r="B24" s="2" t="s">
        <v>125</v>
      </c>
    </row>
    <row r="25" customFormat="false" ht="14.25" hidden="false" customHeight="false" outlineLevel="0" collapsed="false">
      <c r="A25" s="24" t="n">
        <f aca="false">+A24+0.1</f>
        <v>3.1</v>
      </c>
      <c r="B25" s="4" t="s">
        <v>126</v>
      </c>
      <c r="C25" s="0" t="n">
        <f aca="false">302083/50672</f>
        <v>5.96153694347963</v>
      </c>
      <c r="D25" s="0" t="n">
        <f aca="false">287912/63090</f>
        <v>4.5635124425424</v>
      </c>
      <c r="E25" s="0" t="n">
        <f aca="false">258549/65339</f>
        <v>3.9570394404567</v>
      </c>
      <c r="F25" s="26" t="n">
        <f aca="false">+'Financial Statements'!B62/'Financial Statements'!B68</f>
        <v>5.96153694347963</v>
      </c>
    </row>
    <row r="26" customFormat="false" ht="14.25" hidden="false" customHeight="false" outlineLevel="0" collapsed="false">
      <c r="A26" s="24" t="n">
        <f aca="false">+A25+0.1</f>
        <v>3.2</v>
      </c>
      <c r="B26" s="4" t="s">
        <v>127</v>
      </c>
      <c r="C26" s="0" t="n">
        <f aca="false">302083/352755</f>
        <v>0.856353559836147</v>
      </c>
      <c r="D26" s="0" t="n">
        <f aca="false">287912/351002</f>
        <v>0.820257434430573</v>
      </c>
      <c r="E26" s="0" t="n">
        <f aca="false">258549/323888</f>
        <v>0.798266684779924</v>
      </c>
      <c r="F26" s="26" t="n">
        <f aca="false">+'Financial Statements'!B62/'Financial Statements'!B69</f>
        <v>0.856353559836147</v>
      </c>
    </row>
    <row r="27" customFormat="false" ht="14.25" hidden="false" customHeight="false" outlineLevel="0" collapsed="false">
      <c r="A27" s="24" t="n">
        <f aca="false">+A26+0.1</f>
        <v>3.3</v>
      </c>
      <c r="B27" s="4" t="s">
        <v>128</v>
      </c>
      <c r="C27" s="0" t="n">
        <f aca="false">148101/(148101+50672)</f>
        <v>0.745076041514693</v>
      </c>
      <c r="D27" s="0" t="n">
        <f aca="false">162431/(162431+63090)</f>
        <v>0.720247781803025</v>
      </c>
      <c r="E27" s="0" t="n">
        <f aca="false">153157/(153157+65339)</f>
        <v>0.700960200644405</v>
      </c>
      <c r="F27" s="26" t="n">
        <f aca="false">+'Financial Statements'!B61/'Financial Statements'!B68+'Financial Statements'!B61</f>
        <v>148103.922738396</v>
      </c>
    </row>
    <row r="28" customFormat="false" ht="13.8" hidden="false" customHeight="false" outlineLevel="0" collapsed="false">
      <c r="A28" s="24" t="n">
        <f aca="false">+A27+0.1</f>
        <v>3.4</v>
      </c>
      <c r="B28" s="4" t="s">
        <v>129</v>
      </c>
      <c r="C28" s="28" t="n">
        <f aca="false">C21/2931</f>
        <v>40.7495735243944</v>
      </c>
      <c r="D28" s="28" t="n">
        <f aca="false">D21/2645</f>
        <v>41.1905482041588</v>
      </c>
      <c r="E28" s="28" t="n">
        <f aca="false">E21/2873</f>
        <v>23.0727462582666</v>
      </c>
      <c r="F28" s="29" t="n">
        <f aca="false">(+'Financial Statements'!B8-'Financial Statements'!B12-'Financial Statements'!B17)/2800</f>
        <v>42.6560714285714</v>
      </c>
      <c r="G28" s="0" t="s">
        <v>130</v>
      </c>
    </row>
    <row r="29" customFormat="false" ht="14.25" hidden="false" customHeight="false" outlineLevel="0" collapsed="false">
      <c r="A29" s="24" t="n">
        <f aca="false">+A28+0.1</f>
        <v>3.5</v>
      </c>
      <c r="B29" s="4" t="s">
        <v>131</v>
      </c>
      <c r="C29" s="0" t="n">
        <f aca="false">C21/302083</f>
        <v>0.395378091451687</v>
      </c>
      <c r="D29" s="0" t="n">
        <f aca="false">D21/287912</f>
        <v>0.378410764400233</v>
      </c>
      <c r="E29" s="0" t="n">
        <f aca="false">E21/258549</f>
        <v>0.256384669830477</v>
      </c>
      <c r="F29" s="26" t="n">
        <f aca="false">(+'Financial Statements'!B8-'Financial Statements'!B12-'Financial Statements'!B17)/'Financial Statements'!B62</f>
        <v>0.395378091451687</v>
      </c>
    </row>
    <row r="30" customFormat="false" ht="13.8" hidden="false" customHeight="false" outlineLevel="0" collapsed="false">
      <c r="A30" s="24" t="n">
        <f aca="false">+A29+0.1</f>
        <v>3.6</v>
      </c>
      <c r="B30" s="4" t="s">
        <v>132</v>
      </c>
      <c r="C30" s="30" t="n">
        <f aca="false">122151/16215</f>
        <v>7.53320999074931</v>
      </c>
      <c r="D30" s="30" t="n">
        <f aca="false">104038/16701</f>
        <v>6.22944733848273</v>
      </c>
      <c r="E30" s="30" t="n">
        <f aca="false">80674/17352</f>
        <v>4.64926233287229</v>
      </c>
      <c r="F30" s="26" t="n">
        <f aca="false">+'Financial Statements'!B91/'Financial Statements'!B27</f>
        <v>0.00753276262408838</v>
      </c>
    </row>
    <row r="31" customFormat="false" ht="14.25" hidden="false" customHeight="false" outlineLevel="0" collapsed="false">
      <c r="A31" s="24"/>
      <c r="B31" s="21" t="s">
        <v>133</v>
      </c>
      <c r="C31" s="0" t="n">
        <f aca="false">122151-(42117-39440+11104)+24977</f>
        <v>133347</v>
      </c>
      <c r="D31" s="0" t="n">
        <f aca="false">104038-(39440-36766+11284)+35929</f>
        <v>126009</v>
      </c>
      <c r="E31" s="0" t="n">
        <f aca="false">80672-(36766-37378+11056)+39789</f>
        <v>110017</v>
      </c>
      <c r="F31" s="26" t="n">
        <f aca="false">+'Financial Statements'!B91-('Financial Statements'!B45-'Financial Statements'!C45+'Financial Statements'!B79)+'Financial Statements'!B110</f>
        <v>133347</v>
      </c>
    </row>
    <row r="32" customFormat="false" ht="14.25" hidden="false" customHeight="false" outlineLevel="0" collapsed="false">
      <c r="A32" s="24"/>
    </row>
    <row r="33" customFormat="false" ht="14.25" hidden="false" customHeight="false" outlineLevel="0" collapsed="false">
      <c r="A33" s="24" t="n">
        <f aca="false">+A24+1</f>
        <v>4</v>
      </c>
      <c r="B33" s="5" t="s">
        <v>134</v>
      </c>
    </row>
    <row r="34" customFormat="false" ht="14.25" hidden="false" customHeight="false" outlineLevel="0" collapsed="false">
      <c r="A34" s="24" t="n">
        <f aca="false">+A33+0.1</f>
        <v>4.1</v>
      </c>
      <c r="B34" s="4" t="s">
        <v>135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  <c r="F34" s="26" t="n">
        <f aca="false">+'Financial Statements'!B8/'Financial Statements'!B48</f>
        <v>1.11785233377273</v>
      </c>
    </row>
    <row r="35" customFormat="false" ht="14.25" hidden="false" customHeight="false" outlineLevel="0" collapsed="false">
      <c r="A35" s="24" t="n">
        <f aca="false">+A34+0.1</f>
        <v>4.2</v>
      </c>
      <c r="B35" s="4" t="s">
        <v>136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  <c r="F35" s="26" t="n">
        <f aca="false">+'Financial Statements'!B8/'Financial Statements'!B45</f>
        <v>9.36268015290738</v>
      </c>
    </row>
    <row r="36" customFormat="false" ht="14.25" hidden="false" customHeight="false" outlineLevel="0" collapsed="false">
      <c r="A36" s="24" t="n">
        <f aca="false">+A35+0.1</f>
        <v>4.3</v>
      </c>
      <c r="B36" s="4" t="s">
        <v>137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  <c r="F36" s="26" t="n">
        <f aca="false">+'Financial Statements'!B8/'Financial Statements'!B39</f>
        <v>79.726647796199</v>
      </c>
    </row>
    <row r="37" customFormat="false" ht="14.25" hidden="false" customHeight="false" outlineLevel="0" collapsed="false">
      <c r="A37" s="24" t="n">
        <f aca="false">+A36+0.1</f>
        <v>4.4</v>
      </c>
      <c r="B37" s="4" t="s">
        <v>138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  <c r="F37" s="26" t="n">
        <f aca="false">+'Financial Statements'!B76/'Financial Statements'!B48</f>
        <v>0.282924409292568</v>
      </c>
    </row>
    <row r="38" customFormat="false" ht="14.25" hidden="false" customHeight="false" outlineLevel="0" collapsed="false">
      <c r="A38" s="24"/>
    </row>
    <row r="39" customFormat="false" ht="14.25" hidden="false" customHeight="false" outlineLevel="0" collapsed="false">
      <c r="A39" s="24" t="n">
        <f aca="false">+A33+1</f>
        <v>5</v>
      </c>
      <c r="B39" s="5" t="s">
        <v>139</v>
      </c>
    </row>
    <row r="40" customFormat="false" ht="13.8" hidden="false" customHeight="false" outlineLevel="0" collapsed="false">
      <c r="A40" s="24" t="n">
        <f aca="false">+A39+0.1</f>
        <v>5.1</v>
      </c>
      <c r="B40" s="4" t="s">
        <v>140</v>
      </c>
      <c r="C40" s="31" t="n">
        <f aca="false">150/C41</f>
        <v>21.4706280454792</v>
      </c>
      <c r="D40" s="31" t="n">
        <f aca="false">150/D41</f>
        <v>23.4234164038248</v>
      </c>
      <c r="E40" s="31" t="n">
        <f aca="false">112/E41</f>
        <v>33.6387722132472</v>
      </c>
      <c r="F40" s="26" t="n">
        <f aca="false">150/'List of Ratios'!C41</f>
        <v>21.4706280454792</v>
      </c>
    </row>
    <row r="41" customFormat="false" ht="13.8" hidden="false" customHeight="false" outlineLevel="0" collapsed="false">
      <c r="A41" s="24" t="n">
        <f aca="false">+A40+0.1</f>
        <v>5.2</v>
      </c>
      <c r="B41" s="21" t="s">
        <v>141</v>
      </c>
      <c r="C41" s="31" t="n">
        <f aca="false">(99803-14841)/(16215*0.75)</f>
        <v>6.98628841607565</v>
      </c>
      <c r="D41" s="31" t="n">
        <f aca="false">(94680-14467)/(16701*0.75)</f>
        <v>6.40384807296968</v>
      </c>
      <c r="E41" s="31" t="n">
        <f aca="false">(57411-14081)/(17352*0.75)</f>
        <v>3.32949131704318</v>
      </c>
      <c r="F41" s="26" t="n">
        <f aca="false">(+'Financial Statements'!B22-'Financial Statements'!B102)/'Financial Statements'!B27*1000</f>
        <v>7.06982372863086</v>
      </c>
    </row>
    <row r="42" customFormat="false" ht="14.25" hidden="false" customHeight="false" outlineLevel="0" collapsed="false">
      <c r="A42" s="24" t="n">
        <f aca="false">+A41+0.1</f>
        <v>5.3</v>
      </c>
      <c r="B42" s="4" t="s">
        <v>142</v>
      </c>
      <c r="C42" s="31" t="n">
        <f aca="false">137.2/C43</f>
        <v>43.903891695611</v>
      </c>
      <c r="D42" s="31" t="n">
        <f aca="false">139.7/D43</f>
        <v>36.9809747979077</v>
      </c>
      <c r="E42" s="31" t="n">
        <f aca="false">113.6/E43</f>
        <v>30.1686159873888</v>
      </c>
      <c r="F42" s="26"/>
      <c r="G42" s="0" t="s">
        <v>143</v>
      </c>
    </row>
    <row r="43" customFormat="false" ht="14.25" hidden="false" customHeight="false" outlineLevel="0" collapsed="false">
      <c r="A43" s="24" t="n">
        <f aca="false">+A42+0.1</f>
        <v>5.4</v>
      </c>
      <c r="B43" s="21" t="s">
        <v>144</v>
      </c>
      <c r="C43" s="32" t="n">
        <f aca="false">50672/16215</f>
        <v>3.1250077089115</v>
      </c>
      <c r="D43" s="32" t="n">
        <f aca="false">63090/16701</f>
        <v>3.7776181067002</v>
      </c>
      <c r="E43" s="32" t="n">
        <f aca="false">65339/17352</f>
        <v>3.76550253573075</v>
      </c>
      <c r="F43" s="26" t="n">
        <f aca="false">+'Financial Statements'!B68/'Financial Statements'!B27</f>
        <v>0.00312482212743085</v>
      </c>
    </row>
    <row r="44" customFormat="false" ht="14.25" hidden="false" customHeight="false" outlineLevel="0" collapsed="false">
      <c r="A44" s="24" t="n">
        <f aca="false">+A43+0.1</f>
        <v>5.5</v>
      </c>
      <c r="B44" s="4" t="s">
        <v>145</v>
      </c>
      <c r="C44" s="32" t="n">
        <f aca="false">14841/99803</f>
        <v>0.148702944801258</v>
      </c>
      <c r="D44" s="32" t="n">
        <f aca="false">14467/94680</f>
        <v>0.15279890156316</v>
      </c>
      <c r="E44" s="32" t="n">
        <f aca="false">14081/57411</f>
        <v>0.245266586542649</v>
      </c>
      <c r="F44" s="26" t="n">
        <f aca="false">+'Financial Statements'!B102/'Financial Statements'!B22</f>
        <v>-0.148702944801258</v>
      </c>
    </row>
    <row r="45" customFormat="false" ht="14.25" hidden="false" customHeight="false" outlineLevel="0" collapsed="false">
      <c r="A45" s="24"/>
      <c r="B45" s="21" t="s">
        <v>146</v>
      </c>
      <c r="C45" s="32" t="n">
        <f aca="false">14841/16215</f>
        <v>0.915263644773358</v>
      </c>
      <c r="D45" s="32" t="n">
        <f aca="false">14467/16701</f>
        <v>0.8662355547572</v>
      </c>
      <c r="E45" s="32" t="n">
        <f aca="false">14081/17352</f>
        <v>0.811491470723836</v>
      </c>
      <c r="F45" s="26" t="n">
        <f aca="false">(+'Financial Statements'!B102/'Financial Statements'!B27)*1000</f>
        <v>-0.915209290993079</v>
      </c>
    </row>
    <row r="46" customFormat="false" ht="14.25" hidden="false" customHeight="false" outlineLevel="0" collapsed="false">
      <c r="A46" s="24" t="n">
        <f aca="false">+A44+0.1</f>
        <v>5.6</v>
      </c>
      <c r="B46" s="4" t="s">
        <v>147</v>
      </c>
      <c r="C46" s="0" t="n">
        <f aca="false">C45/155.59</f>
        <v>0.0058825351550444</v>
      </c>
      <c r="D46" s="0" t="n">
        <f aca="false">D45/149.81</f>
        <v>0.00578222785366264</v>
      </c>
      <c r="E46" s="0" t="n">
        <f aca="false">E45/114</f>
        <v>0.00711834623441961</v>
      </c>
      <c r="F46" s="26"/>
      <c r="G46" s="0" t="s">
        <v>148</v>
      </c>
    </row>
    <row r="47" customFormat="false" ht="14.25" hidden="false" customHeight="false" outlineLevel="0" collapsed="false">
      <c r="A47" s="24" t="n">
        <f aca="false">+A45+0.1</f>
        <v>0.1</v>
      </c>
      <c r="B47" s="4" t="s">
        <v>149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  <c r="F47" s="26" t="n">
        <f aca="false">+'Financial Statements'!B76/'Financial Statements'!B68</f>
        <v>1.96958872750237</v>
      </c>
    </row>
    <row r="48" customFormat="false" ht="14.25" hidden="false" customHeight="false" outlineLevel="0" collapsed="false">
      <c r="A48" s="24" t="n">
        <f aca="false">+A46+0.1</f>
        <v>5.7</v>
      </c>
      <c r="B48" s="4" t="s">
        <v>150</v>
      </c>
      <c r="C48" s="0" t="n">
        <f aca="false">C21/(352755-153982)</f>
        <v>0.600871345705906</v>
      </c>
      <c r="D48" s="0" t="n">
        <f aca="false">D21/(351002-125481)</f>
        <v>0.483099134892094</v>
      </c>
      <c r="E48" s="0" t="n">
        <f aca="false">E21/(323888-10392)</f>
        <v>0.211447673973512</v>
      </c>
      <c r="F48" s="26" t="n">
        <f aca="false">(+'Financial Statements'!B8-'Financial Statements'!B12-'Financial Statements'!B17)/('Financial Statements'!B69-'Financial Statements'!B56)</f>
        <v>0.600871345705906</v>
      </c>
    </row>
    <row r="49" customFormat="false" ht="13.8" hidden="false" customHeight="false" outlineLevel="0" collapsed="false">
      <c r="A49" s="24" t="n">
        <f aca="false">+A47+0.1</f>
        <v>0.2</v>
      </c>
      <c r="B49" s="4" t="s">
        <v>138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  <c r="F49" s="33" t="n">
        <f aca="false">+'Financial Statements'!B76/'Financial Statements'!B69</f>
        <v>0.282924409292568</v>
      </c>
    </row>
    <row r="50" customFormat="false" ht="14.25" hidden="false" customHeight="false" outlineLevel="0" collapsed="false">
      <c r="A50" s="24" t="n">
        <f aca="false">+A48+0.1</f>
        <v>5.8</v>
      </c>
      <c r="B50" s="4" t="s">
        <v>151</v>
      </c>
      <c r="C50" s="0" t="n">
        <f aca="false">C51/C19</f>
        <v>21.4491833983193</v>
      </c>
      <c r="D50" s="0" t="n">
        <f aca="false">D51/D19</f>
        <v>22.90519083779</v>
      </c>
      <c r="E50" s="0" t="n">
        <f aca="false">E51/E19</f>
        <v>28.3937991311543</v>
      </c>
      <c r="F50" s="26" t="n">
        <f aca="false">+'List of Ratios'!C51/'List of Ratios'!C19</f>
        <v>21.4491833983193</v>
      </c>
    </row>
    <row r="51" customFormat="false" ht="14.25" hidden="false" customHeight="false" outlineLevel="0" collapsed="false">
      <c r="A51" s="24"/>
      <c r="B51" s="21" t="s">
        <v>152</v>
      </c>
      <c r="C51" s="0" t="n">
        <f aca="false">(155.59*16215)+302083-24977</f>
        <v>2799997.85</v>
      </c>
      <c r="D51" s="0" t="n">
        <f aca="false">(149.81*16701)+287912-35929</f>
        <v>2753959.81</v>
      </c>
      <c r="E51" s="0" t="n">
        <f aca="false">(114*17345)+258549-39789</f>
        <v>2196090</v>
      </c>
      <c r="F51" s="26"/>
      <c r="G51" s="0" t="s">
        <v>153</v>
      </c>
    </row>
    <row r="53" customFormat="false" ht="14.25" hidden="false" customHeight="false" outlineLevel="0" collapsed="false">
      <c r="A53" s="0" t="n">
        <v>6</v>
      </c>
      <c r="B53" s="0" t="s">
        <v>154</v>
      </c>
    </row>
    <row r="54" customFormat="false" ht="14.25" hidden="false" customHeight="false" outlineLevel="0" collapsed="false">
      <c r="B54" s="0" t="s">
        <v>155</v>
      </c>
      <c r="C54" s="0" t="n">
        <f aca="false">((316199-297392)/297392)*100</f>
        <v>6.32397643514284</v>
      </c>
      <c r="D54" s="0" t="n">
        <f aca="false">((297392-220747)/220747)*100</f>
        <v>34.7207436567654</v>
      </c>
      <c r="E54" s="0" t="n">
        <f aca="false">((220747-213883)/213883)*100</f>
        <v>3.20923121519709</v>
      </c>
      <c r="F54" s="26" t="n">
        <f aca="false">(+'Financial Statements'!B6-'Financial Statements'!C6)/'Financial Statements'!C6</f>
        <v>0.0632397643514284</v>
      </c>
    </row>
    <row r="55" customFormat="false" ht="14.25" hidden="false" customHeight="false" outlineLevel="0" collapsed="false">
      <c r="B55" s="0" t="s">
        <v>27</v>
      </c>
      <c r="C55" s="0" t="n">
        <f aca="false">((78129-68425)/68425)*100</f>
        <v>14.1819510412861</v>
      </c>
      <c r="D55" s="0" t="n">
        <f aca="false">((68425-53768)/53768)*100</f>
        <v>27.2597083767296</v>
      </c>
      <c r="E55" s="0" t="n">
        <f aca="false">((53768-46291)/53768)*100</f>
        <v>13.9060407677429</v>
      </c>
      <c r="F55" s="26" t="n">
        <f aca="false">(+'Financial Statements'!B7-'Financial Statements'!C7)/'Financial Statements'!C7</f>
        <v>0.141819510412861</v>
      </c>
    </row>
    <row r="56" customFormat="false" ht="14.25" hidden="false" customHeight="false" outlineLevel="0" collapsed="false">
      <c r="B56" s="0" t="s">
        <v>156</v>
      </c>
      <c r="C56" s="0" t="n">
        <f aca="false">((394328-365817)/365817)*100</f>
        <v>7.79378760418461</v>
      </c>
      <c r="D56" s="0" t="n">
        <f aca="false">((365817-274515)/274515)*100</f>
        <v>33.2593847330747</v>
      </c>
      <c r="E56" s="0" t="n">
        <f aca="false">((274515-260174)/260174)*100</f>
        <v>5.51208037697848</v>
      </c>
      <c r="F56" s="26" t="n">
        <f aca="false">(+'Financial Statements'!B8-'Financial Statements'!C8)/'Financial Statements'!C8</f>
        <v>0.0779378760418461</v>
      </c>
    </row>
    <row r="57" customFormat="false" ht="14.25" hidden="false" customHeight="false" outlineLevel="0" collapsed="false">
      <c r="B57" s="0" t="s">
        <v>7</v>
      </c>
      <c r="C57" s="0" t="n">
        <f aca="false">(170782/394328)*100</f>
        <v>43.3096305613601</v>
      </c>
      <c r="D57" s="0" t="n">
        <f aca="false">(152836/365817)*100</f>
        <v>41.7793596251678</v>
      </c>
      <c r="E57" s="0" t="n">
        <f aca="false">(104956/274515)*100</f>
        <v>38.2332477278109</v>
      </c>
      <c r="F57" s="26" t="n">
        <f aca="false">+'Financial Statements'!B13/'Financial Statements'!B8</f>
        <v>0.433096305613601</v>
      </c>
    </row>
    <row r="58" customFormat="false" ht="14.25" hidden="false" customHeight="false" outlineLevel="0" collapsed="false">
      <c r="B58" s="0" t="s">
        <v>157</v>
      </c>
      <c r="C58" s="0" t="n">
        <f aca="false">((51345-43887)/43887)*100</f>
        <v>16.9936427643721</v>
      </c>
      <c r="D58" s="0" t="n">
        <f aca="false">((43887-38668)/38668)*100</f>
        <v>13.4969483810903</v>
      </c>
      <c r="E58" s="0" t="n">
        <f aca="false">((38668-34462)/34462)*100</f>
        <v>12.2047472578492</v>
      </c>
      <c r="F58" s="26" t="n">
        <f aca="false">(+'Financial Statements'!B17-'Financial Statements'!C17)/'Financial Statements'!C17</f>
        <v>0.169936427643721</v>
      </c>
    </row>
    <row r="59" customFormat="false" ht="14.25" hidden="false" customHeight="false" outlineLevel="0" collapsed="false">
      <c r="B59" s="4" t="s">
        <v>9</v>
      </c>
      <c r="C59" s="0" t="s">
        <v>158</v>
      </c>
      <c r="D59" s="0" t="s">
        <v>158</v>
      </c>
      <c r="E59" s="0" t="s">
        <v>158</v>
      </c>
      <c r="F59" s="32"/>
    </row>
    <row r="60" customFormat="false" ht="14.25" hidden="false" customHeight="false" outlineLevel="0" collapsed="false">
      <c r="B60" s="4" t="s">
        <v>159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  <c r="F60" s="26" t="n">
        <f aca="false">(+'Financial Statements'!B48-'Financial Statements'!C48)/'Financial Statements'!B48</f>
        <v>0.0049694547206985</v>
      </c>
    </row>
    <row r="61" customFormat="false" ht="14.25" hidden="false" customHeight="false" outlineLevel="0" collapsed="false">
      <c r="B61" s="0" t="s">
        <v>160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  <c r="F61" s="26" t="n">
        <f aca="false">(+'Financial Statements'!B62-'Financial Statements'!C62)/'Financial Statements'!C62</f>
        <v>0.0492199005251605</v>
      </c>
    </row>
    <row r="62" customFormat="false" ht="14.25" hidden="false" customHeight="false" outlineLevel="0" collapsed="false">
      <c r="B62" s="0" t="s">
        <v>161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  <c r="F62" s="26" t="n">
        <f aca="false">(+'Financial Statements'!B68-'Financial Statements'!C68)/'Financial Statements'!B68</f>
        <v>-0.245066308809599</v>
      </c>
    </row>
    <row r="64" customFormat="false" ht="14.25" hidden="false" customHeight="false" outlineLevel="0" collapsed="false">
      <c r="A64" s="0" t="n">
        <v>7</v>
      </c>
      <c r="B64" s="0" t="s">
        <v>162</v>
      </c>
    </row>
    <row r="65" customFormat="false" ht="14.25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  <c r="F65" s="26" t="n">
        <f aca="false">+'Financial Statements'!B12/'Financial Statements'!B8</f>
        <v>0.566903694386399</v>
      </c>
    </row>
    <row r="66" customFormat="false" ht="14.25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  <c r="F66" s="26" t="n">
        <f aca="false">+'Financial Statements'!B13/'Financial Statements'!B8</f>
        <v>0.433096305613601</v>
      </c>
    </row>
    <row r="67" customFormat="false" ht="14.25" hidden="false" customHeight="false" outlineLevel="0" collapsed="false">
      <c r="B67" s="4" t="s">
        <v>8</v>
      </c>
      <c r="C67" s="0" t="s">
        <v>158</v>
      </c>
      <c r="D67" s="0" t="s">
        <v>158</v>
      </c>
      <c r="E67" s="0" t="s">
        <v>158</v>
      </c>
    </row>
    <row r="68" customFormat="false" ht="14.25" hidden="false" customHeight="false" outlineLevel="0" collapsed="false">
      <c r="B68" s="4" t="s">
        <v>33</v>
      </c>
      <c r="C68" s="0" t="n">
        <f aca="false">(26251/394328)*100</f>
        <v>6.65714836379867</v>
      </c>
      <c r="D68" s="0" t="n">
        <f aca="false">(21914/365817)*100</f>
        <v>5.99042690744279</v>
      </c>
      <c r="E68" s="0" t="n">
        <f aca="false">(18752/274515)*100</f>
        <v>6.83095641403931</v>
      </c>
      <c r="F68" s="26" t="n">
        <f aca="false">+'Financial Statements'!B15/'Financial Statements'!B8</f>
        <v>0.0665714836379867</v>
      </c>
    </row>
    <row r="69" customFormat="false" ht="14.25" hidden="false" customHeight="false" outlineLevel="0" collapsed="false">
      <c r="B69" s="4" t="s">
        <v>34</v>
      </c>
      <c r="C69" s="0" t="n">
        <f aca="false">(25094/394328)*100</f>
        <v>6.36373780203283</v>
      </c>
      <c r="D69" s="0" t="n">
        <f aca="false">(21973/365817)*100</f>
        <v>6.00655519016339</v>
      </c>
      <c r="E69" s="0" t="n">
        <f aca="false">(19916/274515)*100</f>
        <v>7.2549769593647</v>
      </c>
      <c r="F69" s="26" t="n">
        <f aca="false">+'Financial Statements'!B16/'Financial Statements'!B8</f>
        <v>0.0636373780203283</v>
      </c>
    </row>
    <row r="70" customFormat="false" ht="14.25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  <c r="F70" s="26" t="n">
        <f aca="false">+'Financial Statements'!B18/'Financial Statements'!B8</f>
        <v>0.302887443955286</v>
      </c>
    </row>
    <row r="71" customFormat="false" ht="14.25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  <c r="F71" s="26" t="n">
        <f aca="false">+'Financial Statements'!B76/'Financial Statements'!B8</f>
        <v>0.253096407051997</v>
      </c>
    </row>
    <row r="73" customFormat="false" ht="14.25" hidden="false" customHeight="false" outlineLevel="0" collapsed="false">
      <c r="A73" s="0" t="n">
        <v>8</v>
      </c>
      <c r="B73" s="4" t="s">
        <v>163</v>
      </c>
      <c r="C73" s="0" t="n">
        <f aca="false">(19300/119103)*100</f>
        <v>16.2044616844244</v>
      </c>
      <c r="D73" s="0" t="n">
        <f aca="false">(14527/109207)*100</f>
        <v>13.3022608440851</v>
      </c>
      <c r="E73" s="0" t="n">
        <f aca="false">(9680/67091)*100</f>
        <v>14.4281647314841</v>
      </c>
      <c r="F73" s="26" t="n">
        <f aca="false">+'Financial Statements'!B21/'Financial Statements'!B20</f>
        <v>0.162044616844244</v>
      </c>
    </row>
    <row r="74" customFormat="false" ht="14.25" hidden="false" customHeight="false" outlineLevel="0" collapsed="false">
      <c r="B74" s="4" t="s">
        <v>164</v>
      </c>
      <c r="C74" s="0" t="n">
        <f aca="false">((42117-39440+11104)/394328)*100</f>
        <v>3.49480635410115</v>
      </c>
      <c r="D74" s="0" t="n">
        <f aca="false">((39440-36766+11284)/365817)*100</f>
        <v>3.81556898667913</v>
      </c>
      <c r="E74" s="0" t="n">
        <f aca="false">((36766-37378+11056)/274515)*100</f>
        <v>3.80452798572027</v>
      </c>
      <c r="F74" s="26" t="n">
        <f aca="false">+('Financial Statements'!B45-'Financial Statements'!C45+'Financial Statements'!B79)/'Financial Statements'!B8</f>
        <v>0.0349480635410115</v>
      </c>
    </row>
    <row r="75" customFormat="false" ht="14.25" hidden="false" customHeight="false" outlineLevel="0" collapsed="false">
      <c r="B75" s="4" t="s">
        <v>165</v>
      </c>
      <c r="C75" s="0" t="n">
        <f aca="false">((42117-39440+11104)/217350)*100</f>
        <v>6.34046468829078</v>
      </c>
      <c r="D75" s="0" t="n">
        <f aca="false">((39440-36766+11284)/216166)*100</f>
        <v>6.45707465558876</v>
      </c>
      <c r="E75" s="0" t="n">
        <f aca="false">((36766-37378+11056)/180175)*100</f>
        <v>5.79658665186624</v>
      </c>
      <c r="F75" s="26" t="n">
        <f aca="false">+('Financial Statements'!B45-'Financial Statements'!C45+'Financial Statements'!B79)/'Financial Statements'!B47</f>
        <v>0.0634046468829078</v>
      </c>
    </row>
    <row r="77" customFormat="false" ht="14.25" hidden="false" customHeight="false" outlineLevel="0" collapsed="false">
      <c r="B77" s="4"/>
    </row>
    <row r="78" customFormat="false" ht="14.25" hidden="false" customHeight="false" outlineLevel="0" collapsed="false">
      <c r="B78" s="4"/>
    </row>
    <row r="79" customFormat="false" ht="14.25" hidden="false" customHeight="false" outlineLevel="0" collapsed="false">
      <c r="B79" s="4"/>
    </row>
    <row r="80" customFormat="false" ht="14.25" hidden="false" customHeight="false" outlineLevel="0" collapsed="false">
      <c r="B80" s="4"/>
    </row>
    <row r="81" customFormat="false" ht="14.25" hidden="false" customHeight="false" outlineLevel="0" collapsed="false">
      <c r="B81" s="4"/>
    </row>
    <row r="84" customFormat="false" ht="14.25" hidden="false" customHeight="false" outlineLevel="0" collapsed="false">
      <c r="B84" s="4"/>
    </row>
    <row r="85" customFormat="false" ht="14.25" hidden="false" customHeight="false" outlineLevel="0" collapsed="false">
      <c r="B85" s="4"/>
    </row>
    <row r="86" customFormat="false" ht="14.25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506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2023-12-12T15:58:00Z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